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<sst xmlns="http://schemas.openxmlformats.org/spreadsheetml/2006/main" count="192" uniqueCount="127">
  <si>
    <t>Eingabe der Werte</t>
  </si>
  <si>
    <t>Zahl der Dübel</t>
  </si>
  <si>
    <t>n</t>
  </si>
  <si>
    <t xml:space="preserve"> -</t>
  </si>
  <si>
    <t>Abstand der Dübel</t>
  </si>
  <si>
    <t>a1</t>
  </si>
  <si>
    <t>mm</t>
  </si>
  <si>
    <t>Winkel Kraftrichtung/Faserrichtung</t>
  </si>
  <si>
    <t>alpha</t>
  </si>
  <si>
    <t>°</t>
  </si>
  <si>
    <t>Dübeldurchmesser</t>
  </si>
  <si>
    <t>d</t>
  </si>
  <si>
    <t>Festigkeit Dübelstahl</t>
  </si>
  <si>
    <t>fuk</t>
  </si>
  <si>
    <t>N/mm²</t>
  </si>
  <si>
    <t>Holzdicke</t>
  </si>
  <si>
    <t>t (a bei alter DIN)</t>
  </si>
  <si>
    <t>Holztyp (L)aub oder (N)adel</t>
  </si>
  <si>
    <t>Holz</t>
  </si>
  <si>
    <t>rho k</t>
  </si>
  <si>
    <t>kg/m³</t>
  </si>
  <si>
    <t>Stahlblechdicke Dübelhalterung</t>
  </si>
  <si>
    <t>ts</t>
  </si>
  <si>
    <t>Erhöhung nach Formel (209)?</t>
  </si>
  <si>
    <t>Stützenlänge</t>
  </si>
  <si>
    <t>h</t>
  </si>
  <si>
    <t>m</t>
  </si>
  <si>
    <t>Stützenfestigkeit</t>
  </si>
  <si>
    <t>E*I</t>
  </si>
  <si>
    <t>kNm²</t>
  </si>
  <si>
    <t>neue DIN 1052</t>
  </si>
  <si>
    <t>fh0k</t>
  </si>
  <si>
    <t>Formel (203)</t>
  </si>
  <si>
    <t>0,082(1-0,01d)rho k</t>
  </si>
  <si>
    <t>k90</t>
  </si>
  <si>
    <t>Formel(204/205)</t>
  </si>
  <si>
    <t>1,35+0,015d(N)/0,90+0,015d(L)</t>
  </si>
  <si>
    <t>fhak</t>
  </si>
  <si>
    <t>Formel (202)</t>
  </si>
  <si>
    <t>fh0k/(k90*sin²(a)+cos²(a))</t>
  </si>
  <si>
    <t>Myk</t>
  </si>
  <si>
    <t>Formel (208)</t>
  </si>
  <si>
    <t>0,3 fuk d^2,6</t>
  </si>
  <si>
    <t>N mm</t>
  </si>
  <si>
    <t>t* req (feste Halterung)</t>
  </si>
  <si>
    <t>Formel (198)</t>
  </si>
  <si>
    <t>1,15*4Wurzel(Myk/(fhk d))</t>
  </si>
  <si>
    <t>t req</t>
  </si>
  <si>
    <t>12.2.3 Punkt (3), (5), (6)</t>
  </si>
  <si>
    <t>AF</t>
  </si>
  <si>
    <t>Bild VI</t>
  </si>
  <si>
    <t>R*k (feste Halterung - große Holzdicke)</t>
  </si>
  <si>
    <t>Formel (197)</t>
  </si>
  <si>
    <t>2 Wurzel(Myk fhk d)</t>
  </si>
  <si>
    <t>N</t>
  </si>
  <si>
    <t>R**k (gegebene Halterung)</t>
  </si>
  <si>
    <t>R***k (tatsächliche Holzdicke)</t>
  </si>
  <si>
    <t>12.2.3 Punkt (7)</t>
  </si>
  <si>
    <t>Rk</t>
  </si>
  <si>
    <t>Formel (209)</t>
  </si>
  <si>
    <t>Kser</t>
  </si>
  <si>
    <t>Tabelle G.1</t>
  </si>
  <si>
    <t>rho k^1,5 * d/20</t>
  </si>
  <si>
    <t>N/mm</t>
  </si>
  <si>
    <t>v max</t>
  </si>
  <si>
    <t>Rk/Kser</t>
  </si>
  <si>
    <t>phi max</t>
  </si>
  <si>
    <t>2 vmax/t</t>
  </si>
  <si>
    <t>nef</t>
  </si>
  <si>
    <t>Formel (210)</t>
  </si>
  <si>
    <t>Min{n;n^0,9*Wurzel(4)(a1/(10d)}(1-a/90)+n*a/90</t>
  </si>
  <si>
    <t>Rges</t>
  </si>
  <si>
    <t>Rk*nef</t>
  </si>
  <si>
    <t>kN</t>
  </si>
  <si>
    <t>zul M</t>
  </si>
  <si>
    <t>kNm</t>
  </si>
  <si>
    <t>Cd</t>
  </si>
  <si>
    <t xml:space="preserve">Kser t² nef AF /2 </t>
  </si>
  <si>
    <t>zul M*</t>
  </si>
  <si>
    <t>C*d</t>
  </si>
  <si>
    <t>Stützenkopfverschiebung</t>
  </si>
  <si>
    <t>h * phi max</t>
  </si>
  <si>
    <t>cm</t>
  </si>
  <si>
    <t>Knicklänge</t>
  </si>
  <si>
    <t>knick(Stützenhöhe, Stützenfestigkeit,Steifigkeit)</t>
  </si>
  <si>
    <t>alte DIN 1052</t>
  </si>
  <si>
    <t>zul sig</t>
  </si>
  <si>
    <t>Tabelle 10</t>
  </si>
  <si>
    <t>MN/m²</t>
  </si>
  <si>
    <t>B</t>
  </si>
  <si>
    <t>zul N*</t>
  </si>
  <si>
    <t>Formel (3;4)</t>
  </si>
  <si>
    <t>MIN{zul sig*a*d;B*d²}</t>
  </si>
  <si>
    <t>zul N</t>
  </si>
  <si>
    <t>Punkt 5.10</t>
  </si>
  <si>
    <t>zul N* mal Erhöhungsfaktor</t>
  </si>
  <si>
    <t>v* max</t>
  </si>
  <si>
    <t>Tabelle 13</t>
  </si>
  <si>
    <t>v*max*Erhöhungsfaktor</t>
  </si>
  <si>
    <t>C (Verschiebungsmodul)</t>
  </si>
  <si>
    <t>0,7 zul N*</t>
  </si>
  <si>
    <t>areq</t>
  </si>
  <si>
    <t>B d / zul sig</t>
  </si>
  <si>
    <t>ef n</t>
  </si>
  <si>
    <t>N ges</t>
  </si>
  <si>
    <t>Nges/2</t>
  </si>
  <si>
    <t>Cd (beachten 2 Scherfugen für C)</t>
  </si>
  <si>
    <t xml:space="preserve">C t² ef n AF /(2*2) </t>
  </si>
  <si>
    <t>zum Vergleich</t>
  </si>
  <si>
    <t>weiterer Erhöhungs-Faktor</t>
  </si>
  <si>
    <t>-</t>
  </si>
  <si>
    <t>Belastung alte DIN</t>
  </si>
  <si>
    <t>mal Dübelzahl</t>
  </si>
  <si>
    <t>mal Dübellänge</t>
  </si>
  <si>
    <t>Knicklänge Kragstütze</t>
  </si>
  <si>
    <t>Anzahl unabhängiger Dübelgruppen</t>
  </si>
  <si>
    <t>Gruppen * zul M</t>
  </si>
  <si>
    <t>Gruppen * Cd</t>
  </si>
  <si>
    <t>Cd*</t>
  </si>
  <si>
    <t>Berechnungstool zur Berechnung einer zweischnittigen Stabdübelverbindung, die auf Kippung beansprucht wird.</t>
  </si>
  <si>
    <t>Es werden zulässige Momentenbelastung, Knicklänge und Verformung des Stützenkopfes berechnet</t>
  </si>
  <si>
    <t>Für die Fehlerfreiheit der Software wird (wie üblich) keine Garantie übernommen</t>
  </si>
  <si>
    <r>
      <t xml:space="preserve">Eingaben erfolgen in den </t>
    </r>
    <r>
      <rPr>
        <sz val="10"/>
        <rFont val="Arial"/>
        <family val="2"/>
      </rPr>
      <t xml:space="preserve">gelb </t>
    </r>
    <r>
      <rPr>
        <sz val="10"/>
        <color indexed="13"/>
        <rFont val="Arial"/>
        <family val="2"/>
      </rPr>
      <t>IIIIIIIIIII</t>
    </r>
    <r>
      <rPr>
        <sz val="10"/>
        <rFont val="Arial"/>
        <family val="0"/>
      </rPr>
      <t xml:space="preserve"> unterlegten Feldern</t>
    </r>
  </si>
  <si>
    <t>n d</t>
  </si>
  <si>
    <t>siehe Aufsatz</t>
  </si>
  <si>
    <t>Rges*t*AF*nd/n</t>
  </si>
  <si>
    <t>(Nges/2)*a*AF*nd/n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</si>
</sst>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"/>
    <numFmt numFmtId="166" formatCode="0.000"/>
  </numFmts>
  <fonts count="3">
    <font>
      <sz val="10"/>
      <name val="Arial"/>
      <family val="0"/>
    </font>
    <font>
      <b/>
      <sz val="12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2" fontId="0" fillId="2" borderId="10" xfId="0" applyNumberForma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2" borderId="10" xfId="0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83"/>
  <sheetViews>
    <sheetView tabSelected="1" workbookViewId="0" topLeftCell="A23">
      <selection activeCell="C38" sqref="C38"/>
    </sheetView>
  </sheetViews>
  <sheetFormatPr defaultColWidth="11.421875" defaultRowHeight="12.75"/>
  <cols>
    <col min="1" max="1" width="33.421875" style="0" bestFit="1" customWidth="1"/>
    <col min="2" max="2" width="20.8515625" style="0" bestFit="1" customWidth="1"/>
    <col min="3" max="3" width="40.7109375" style="0" bestFit="1" customWidth="1"/>
    <col min="4" max="4" width="6.57421875" style="0" bestFit="1" customWidth="1"/>
    <col min="5" max="5" width="2.57421875" style="0" customWidth="1"/>
    <col min="6" max="7" width="9.00390625" style="0" bestFit="1" customWidth="1"/>
  </cols>
  <sheetData>
    <row r="1" spans="1:7" ht="12.75">
      <c r="A1" s="34" t="s">
        <v>119</v>
      </c>
      <c r="B1" s="34"/>
      <c r="C1" s="34"/>
      <c r="D1" s="34"/>
      <c r="E1" s="34"/>
      <c r="F1" s="34"/>
      <c r="G1" s="34"/>
    </row>
    <row r="3" spans="1:7" ht="12.75">
      <c r="A3" s="34" t="s">
        <v>122</v>
      </c>
      <c r="B3" s="34"/>
      <c r="C3" s="34"/>
      <c r="D3" s="34"/>
      <c r="E3" s="34"/>
      <c r="F3" s="34"/>
      <c r="G3" s="34"/>
    </row>
    <row r="5" spans="1:7" ht="12.75">
      <c r="A5" s="34" t="s">
        <v>120</v>
      </c>
      <c r="B5" s="34"/>
      <c r="C5" s="34"/>
      <c r="D5" s="34"/>
      <c r="E5" s="34"/>
      <c r="F5" s="34"/>
      <c r="G5" s="34"/>
    </row>
    <row r="6" spans="1:7" ht="12.75">
      <c r="A6" s="34" t="s">
        <v>121</v>
      </c>
      <c r="B6" s="34"/>
      <c r="C6" s="34"/>
      <c r="D6" s="34"/>
      <c r="E6" s="34"/>
      <c r="F6" s="34"/>
      <c r="G6" s="34"/>
    </row>
    <row r="7" ht="13.5" thickBot="1"/>
    <row r="8" spans="1:7" ht="12.75">
      <c r="A8" s="1"/>
      <c r="B8" s="2"/>
      <c r="C8" s="30"/>
      <c r="D8" s="2"/>
      <c r="E8" s="2"/>
      <c r="F8" s="2"/>
      <c r="G8" s="3"/>
    </row>
    <row r="9" spans="1:7" ht="15.75">
      <c r="A9" s="31" t="s">
        <v>0</v>
      </c>
      <c r="B9" s="32"/>
      <c r="C9" s="32"/>
      <c r="D9" s="32"/>
      <c r="E9" s="32"/>
      <c r="F9" s="32"/>
      <c r="G9" s="33"/>
    </row>
    <row r="10" spans="1:7" ht="13.5" thickBot="1">
      <c r="A10" s="4"/>
      <c r="B10" s="5"/>
      <c r="C10" s="5"/>
      <c r="D10" s="5"/>
      <c r="E10" s="5"/>
      <c r="F10" s="5"/>
      <c r="G10" s="6"/>
    </row>
    <row r="11" spans="1:7" ht="12.75">
      <c r="A11" s="4" t="s">
        <v>1</v>
      </c>
      <c r="B11" s="5" t="s">
        <v>2</v>
      </c>
      <c r="C11" s="5"/>
      <c r="D11" s="5" t="s">
        <v>3</v>
      </c>
      <c r="E11" s="5"/>
      <c r="F11" s="9">
        <v>7</v>
      </c>
      <c r="G11" s="26">
        <v>5</v>
      </c>
    </row>
    <row r="12" spans="1:7" ht="12.75">
      <c r="A12" s="4" t="s">
        <v>4</v>
      </c>
      <c r="B12" s="5" t="s">
        <v>5</v>
      </c>
      <c r="C12" s="5"/>
      <c r="D12" s="5" t="s">
        <v>6</v>
      </c>
      <c r="E12" s="5"/>
      <c r="F12" s="9">
        <v>100</v>
      </c>
      <c r="G12" s="27">
        <v>80</v>
      </c>
    </row>
    <row r="13" spans="1:7" ht="12.75">
      <c r="A13" s="4" t="s">
        <v>7</v>
      </c>
      <c r="B13" s="5" t="s">
        <v>8</v>
      </c>
      <c r="C13" s="5"/>
      <c r="D13" s="5" t="s">
        <v>9</v>
      </c>
      <c r="E13" s="5"/>
      <c r="F13" s="9">
        <v>0</v>
      </c>
      <c r="G13" s="27">
        <v>0</v>
      </c>
    </row>
    <row r="14" spans="1:7" ht="12.75">
      <c r="A14" s="4" t="s">
        <v>10</v>
      </c>
      <c r="B14" s="5" t="s">
        <v>11</v>
      </c>
      <c r="C14" s="5"/>
      <c r="D14" s="5" t="s">
        <v>6</v>
      </c>
      <c r="E14" s="5"/>
      <c r="F14" s="9">
        <v>20</v>
      </c>
      <c r="G14" s="27">
        <v>16</v>
      </c>
    </row>
    <row r="15" spans="1:7" ht="12.75">
      <c r="A15" s="4" t="s">
        <v>12</v>
      </c>
      <c r="B15" s="5" t="s">
        <v>13</v>
      </c>
      <c r="C15" s="5"/>
      <c r="D15" s="5" t="s">
        <v>14</v>
      </c>
      <c r="E15" s="5"/>
      <c r="F15" s="9">
        <v>360</v>
      </c>
      <c r="G15" s="27">
        <v>360</v>
      </c>
    </row>
    <row r="16" spans="1:7" ht="12.75">
      <c r="A16" s="4" t="s">
        <v>15</v>
      </c>
      <c r="B16" s="5" t="s">
        <v>16</v>
      </c>
      <c r="C16" s="5"/>
      <c r="D16" s="5" t="s">
        <v>6</v>
      </c>
      <c r="E16" s="5"/>
      <c r="F16" s="9">
        <v>130</v>
      </c>
      <c r="G16" s="27">
        <v>130</v>
      </c>
    </row>
    <row r="17" spans="1:7" ht="12.75">
      <c r="A17" s="4" t="s">
        <v>17</v>
      </c>
      <c r="B17" s="5"/>
      <c r="C17" s="5"/>
      <c r="D17" s="5" t="s">
        <v>3</v>
      </c>
      <c r="E17" s="5"/>
      <c r="F17" s="35" t="s">
        <v>2</v>
      </c>
      <c r="G17" s="36" t="s">
        <v>2</v>
      </c>
    </row>
    <row r="18" spans="1:7" ht="12.75">
      <c r="A18" s="4" t="s">
        <v>18</v>
      </c>
      <c r="B18" s="5" t="s">
        <v>19</v>
      </c>
      <c r="C18" s="5"/>
      <c r="D18" s="5" t="s">
        <v>20</v>
      </c>
      <c r="E18" s="5"/>
      <c r="F18" s="9">
        <v>350</v>
      </c>
      <c r="G18" s="27">
        <v>350</v>
      </c>
    </row>
    <row r="19" spans="1:7" ht="12.75">
      <c r="A19" s="4" t="s">
        <v>21</v>
      </c>
      <c r="B19" s="5" t="s">
        <v>22</v>
      </c>
      <c r="C19" s="5"/>
      <c r="D19" s="5" t="s">
        <v>6</v>
      </c>
      <c r="E19" s="5"/>
      <c r="F19" s="9">
        <v>10</v>
      </c>
      <c r="G19" s="27">
        <v>10</v>
      </c>
    </row>
    <row r="20" spans="1:7" ht="12.75">
      <c r="A20" s="4" t="s">
        <v>23</v>
      </c>
      <c r="B20" s="5"/>
      <c r="C20" s="5"/>
      <c r="D20" s="5" t="s">
        <v>3</v>
      </c>
      <c r="E20" s="5"/>
      <c r="F20" s="9">
        <v>1.25</v>
      </c>
      <c r="G20" s="27">
        <v>1.25</v>
      </c>
    </row>
    <row r="21" spans="1:7" ht="12.75">
      <c r="A21" s="4"/>
      <c r="B21" s="5"/>
      <c r="C21" s="5"/>
      <c r="D21" s="5"/>
      <c r="E21" s="5"/>
      <c r="F21" s="9"/>
      <c r="G21" s="27"/>
    </row>
    <row r="22" spans="1:7" ht="12.75">
      <c r="A22" s="4" t="s">
        <v>115</v>
      </c>
      <c r="B22" s="5"/>
      <c r="C22" s="5"/>
      <c r="D22" s="5" t="s">
        <v>3</v>
      </c>
      <c r="E22" s="5"/>
      <c r="F22" s="9">
        <v>2</v>
      </c>
      <c r="G22" s="27">
        <v>2</v>
      </c>
    </row>
    <row r="23" spans="1:7" ht="12.75">
      <c r="A23" s="4" t="s">
        <v>24</v>
      </c>
      <c r="B23" s="5" t="s">
        <v>25</v>
      </c>
      <c r="C23" s="5"/>
      <c r="D23" s="5" t="s">
        <v>26</v>
      </c>
      <c r="E23" s="5"/>
      <c r="F23" s="10">
        <v>2.7</v>
      </c>
      <c r="G23" s="28">
        <v>2.7</v>
      </c>
    </row>
    <row r="24" spans="1:7" ht="13.5" thickBot="1">
      <c r="A24" s="7" t="s">
        <v>27</v>
      </c>
      <c r="B24" s="8" t="s">
        <v>28</v>
      </c>
      <c r="C24" s="8"/>
      <c r="D24" s="8" t="s">
        <v>29</v>
      </c>
      <c r="E24" s="8"/>
      <c r="F24" s="11">
        <v>4400</v>
      </c>
      <c r="G24" s="29">
        <v>4400</v>
      </c>
    </row>
    <row r="25" spans="1:7" ht="12.75">
      <c r="A25" s="1"/>
      <c r="B25" s="2"/>
      <c r="C25" s="2"/>
      <c r="D25" s="2"/>
      <c r="E25" s="2"/>
      <c r="F25" s="2"/>
      <c r="G25" s="3"/>
    </row>
    <row r="26" spans="1:7" ht="15.75">
      <c r="A26" s="31" t="s">
        <v>30</v>
      </c>
      <c r="B26" s="32"/>
      <c r="C26" s="32"/>
      <c r="D26" s="32"/>
      <c r="E26" s="32"/>
      <c r="F26" s="32"/>
      <c r="G26" s="33"/>
    </row>
    <row r="27" spans="1:7" ht="12.75">
      <c r="A27" s="4"/>
      <c r="B27" s="5"/>
      <c r="C27" s="5"/>
      <c r="D27" s="5"/>
      <c r="E27" s="5"/>
      <c r="F27" s="5"/>
      <c r="G27" s="6"/>
    </row>
    <row r="28" spans="1:7" ht="12.75">
      <c r="A28" s="4" t="s">
        <v>31</v>
      </c>
      <c r="B28" s="5" t="s">
        <v>32</v>
      </c>
      <c r="C28" s="5" t="s">
        <v>33</v>
      </c>
      <c r="D28" s="5" t="s">
        <v>14</v>
      </c>
      <c r="E28" s="5"/>
      <c r="F28" s="9">
        <f>0.082*(1-0.01*F14)*F18</f>
        <v>22.96</v>
      </c>
      <c r="G28" s="17">
        <f>0.082*(1-0.01*G14)*G18</f>
        <v>24.108</v>
      </c>
    </row>
    <row r="29" spans="1:7" ht="12.75">
      <c r="A29" s="4" t="s">
        <v>34</v>
      </c>
      <c r="B29" s="5" t="s">
        <v>35</v>
      </c>
      <c r="C29" s="5" t="s">
        <v>36</v>
      </c>
      <c r="D29" s="5" t="s">
        <v>3</v>
      </c>
      <c r="E29" s="5"/>
      <c r="F29" s="9">
        <f>IF(OR(F17="N",F17="n"),1.35+0.015*F14,0.9+0.015*F14)</f>
        <v>1.6500000000000001</v>
      </c>
      <c r="G29" s="17">
        <f>IF(OR(G17="N",G17="n"),1.35+0.015*G14,0.9+0.015*G14)</f>
        <v>1.59</v>
      </c>
    </row>
    <row r="30" spans="1:7" ht="12.75">
      <c r="A30" s="4" t="s">
        <v>37</v>
      </c>
      <c r="B30" s="5" t="s">
        <v>38</v>
      </c>
      <c r="C30" s="5" t="s">
        <v>39</v>
      </c>
      <c r="D30" s="5" t="s">
        <v>14</v>
      </c>
      <c r="E30" s="5"/>
      <c r="F30" s="9">
        <f>F28/(1+(F29-1)*POWER(SIN(F13*PI()/180),2))</f>
        <v>22.96</v>
      </c>
      <c r="G30" s="17">
        <f>G28/(1+(G29-1)*POWER(SIN(G13*PI()/180),2))</f>
        <v>24.108</v>
      </c>
    </row>
    <row r="31" spans="1:7" ht="12.75">
      <c r="A31" s="4" t="s">
        <v>40</v>
      </c>
      <c r="B31" s="5" t="s">
        <v>41</v>
      </c>
      <c r="C31" s="5" t="s">
        <v>42</v>
      </c>
      <c r="D31" s="5" t="s">
        <v>43</v>
      </c>
      <c r="E31" s="5"/>
      <c r="F31" s="12">
        <f>0.3*F15*POWER(F14,2.6)</f>
        <v>260676.41773875113</v>
      </c>
      <c r="G31" s="19">
        <f>0.3*G15*POWER(G14,2.6)</f>
        <v>145927.0188681959</v>
      </c>
    </row>
    <row r="32" spans="1:7" ht="12.75">
      <c r="A32" s="4" t="s">
        <v>44</v>
      </c>
      <c r="B32" s="5" t="s">
        <v>45</v>
      </c>
      <c r="C32" s="5" t="s">
        <v>46</v>
      </c>
      <c r="D32" s="5" t="s">
        <v>6</v>
      </c>
      <c r="E32" s="5"/>
      <c r="F32" s="10">
        <f>1.15*4*SQRT(F31/(F30*F14))</f>
        <v>109.59929589468035</v>
      </c>
      <c r="G32" s="18">
        <f>1.15*4*SQRT(G31/(G30*G14))</f>
        <v>89.47157947071489</v>
      </c>
    </row>
    <row r="33" spans="1:7" ht="12.75">
      <c r="A33" s="4" t="s">
        <v>47</v>
      </c>
      <c r="B33" s="5" t="s">
        <v>48</v>
      </c>
      <c r="C33" s="5"/>
      <c r="D33" s="5" t="s">
        <v>6</v>
      </c>
      <c r="E33" s="5"/>
      <c r="F33" s="10">
        <f>F32*IF(F$19&gt;F$14,1,IF(F$19&lt;F$14/2,SQRT(0.5),1-(2-SQRT(2))*F$19/F$14))</f>
        <v>77.49840534039942</v>
      </c>
      <c r="G33" s="18">
        <f>G32*IF(G$19&gt;G$14,1,IF(G$19&lt;G$14/2,SQRT(0.5),1-(2-SQRT(2))*G$19/G$14))</f>
        <v>56.71455584133827</v>
      </c>
    </row>
    <row r="34" spans="1:7" ht="12.75">
      <c r="A34" s="4" t="s">
        <v>49</v>
      </c>
      <c r="B34" s="5" t="s">
        <v>50</v>
      </c>
      <c r="C34" s="5"/>
      <c r="D34" s="5" t="s">
        <v>3</v>
      </c>
      <c r="E34" s="5"/>
      <c r="F34" s="13">
        <f>kurz(F$16,F32,F$14,F$19)</f>
        <v>0.36983448547404024</v>
      </c>
      <c r="G34" s="20">
        <f>kurz(G$16,G32,G$14,G$19)</f>
        <v>0.41075939561502195</v>
      </c>
    </row>
    <row r="35" spans="1:7" ht="12.75">
      <c r="A35" s="4" t="s">
        <v>51</v>
      </c>
      <c r="B35" s="5" t="s">
        <v>52</v>
      </c>
      <c r="C35" s="5" t="s">
        <v>53</v>
      </c>
      <c r="D35" s="5" t="s">
        <v>54</v>
      </c>
      <c r="E35" s="5"/>
      <c r="F35" s="10">
        <f>2*SQRT(F31*F30*F14)</f>
        <v>21881.737684711836</v>
      </c>
      <c r="G35" s="18">
        <f>2*SQRT(G31*G30*G14)</f>
        <v>15005.08408959996</v>
      </c>
    </row>
    <row r="36" spans="1:7" ht="12.75">
      <c r="A36" s="4" t="s">
        <v>55</v>
      </c>
      <c r="B36" s="5" t="s">
        <v>48</v>
      </c>
      <c r="C36" s="5"/>
      <c r="D36" s="5" t="s">
        <v>54</v>
      </c>
      <c r="E36" s="5"/>
      <c r="F36" s="10">
        <f>F35*IF(F$19&gt;F$14,1,IF(F$19&lt;F$14/2,SQRT(0.5),1-(2-SQRT(2))*F$19/F$14))</f>
        <v>15472.725101004964</v>
      </c>
      <c r="G36" s="18">
        <f>G35*IF(G$19&gt;G$14,1,IF(G$19&lt;G$14/2,SQRT(0.5),1-(2-SQRT(2))*G$19/G$14))</f>
        <v>9511.474867638142</v>
      </c>
    </row>
    <row r="37" spans="1:7" ht="12.75">
      <c r="A37" s="4" t="s">
        <v>56</v>
      </c>
      <c r="B37" s="5" t="s">
        <v>57</v>
      </c>
      <c r="C37" s="5"/>
      <c r="D37" s="5" t="s">
        <v>54</v>
      </c>
      <c r="E37" s="5"/>
      <c r="F37" s="10">
        <f>F36*IF(F16&lt;F33,F16/F33,1)</f>
        <v>15472.725101004964</v>
      </c>
      <c r="G37" s="18">
        <f>G36*IF(G16&lt;G33,G16/G33,1)</f>
        <v>9511.474867638142</v>
      </c>
    </row>
    <row r="38" spans="1:7" ht="12.75">
      <c r="A38" s="4" t="s">
        <v>58</v>
      </c>
      <c r="B38" s="5" t="s">
        <v>59</v>
      </c>
      <c r="C38" s="5"/>
      <c r="D38" s="5" t="s">
        <v>54</v>
      </c>
      <c r="E38" s="5"/>
      <c r="F38" s="10">
        <f>F37*F20</f>
        <v>19340.906376256204</v>
      </c>
      <c r="G38" s="18">
        <f>G37*G20</f>
        <v>11889.343584547678</v>
      </c>
    </row>
    <row r="39" spans="1:7" ht="12.75">
      <c r="A39" s="4" t="s">
        <v>60</v>
      </c>
      <c r="B39" s="5" t="s">
        <v>61</v>
      </c>
      <c r="C39" s="5" t="s">
        <v>62</v>
      </c>
      <c r="D39" s="5" t="s">
        <v>63</v>
      </c>
      <c r="E39" s="5"/>
      <c r="F39" s="10">
        <f>POWER(F18,1.5)*F14/20</f>
        <v>6547.900426854397</v>
      </c>
      <c r="G39" s="18">
        <f>POWER(G18,1.5)*G14/20</f>
        <v>5238.320341483517</v>
      </c>
    </row>
    <row r="40" spans="1:7" ht="12.75">
      <c r="A40" s="4" t="s">
        <v>64</v>
      </c>
      <c r="B40" s="5"/>
      <c r="C40" s="5" t="s">
        <v>65</v>
      </c>
      <c r="D40" s="5" t="s">
        <v>6</v>
      </c>
      <c r="E40" s="5"/>
      <c r="F40" s="14">
        <f>F38/F39</f>
        <v>2.9537569473315206</v>
      </c>
      <c r="G40" s="21">
        <f>G38/G39</f>
        <v>2.269686237092663</v>
      </c>
    </row>
    <row r="41" spans="1:7" ht="12.75">
      <c r="A41" s="4" t="s">
        <v>123</v>
      </c>
      <c r="B41" s="5"/>
      <c r="C41" s="5" t="s">
        <v>124</v>
      </c>
      <c r="D41" s="5" t="s">
        <v>3</v>
      </c>
      <c r="E41" s="5"/>
      <c r="F41" s="14">
        <f>effektiv(F11,F14,F16,F12,F40)</f>
        <v>6.415161116127009</v>
      </c>
      <c r="G41" s="14">
        <f>effektiv(G11,G14,G16,G12,G40)</f>
        <v>4.815785265859064</v>
      </c>
    </row>
    <row r="42" spans="1:7" ht="12.75">
      <c r="A42" s="4" t="s">
        <v>66</v>
      </c>
      <c r="B42" s="5"/>
      <c r="C42" s="5" t="s">
        <v>67</v>
      </c>
      <c r="D42" s="5" t="s">
        <v>3</v>
      </c>
      <c r="E42" s="5"/>
      <c r="F42" s="13">
        <f>2*F40/F16</f>
        <v>0.04544241457433108</v>
      </c>
      <c r="G42" s="20">
        <f>2*G40/G16</f>
        <v>0.034918249801425584</v>
      </c>
    </row>
    <row r="43" spans="1:7" ht="12.75">
      <c r="A43" s="4" t="s">
        <v>68</v>
      </c>
      <c r="B43" s="5" t="s">
        <v>69</v>
      </c>
      <c r="C43" s="5" t="s">
        <v>70</v>
      </c>
      <c r="D43" s="5" t="s">
        <v>3</v>
      </c>
      <c r="E43" s="5"/>
      <c r="F43" s="10">
        <f>MIN(F11,POWER(F11,0.9)*POWER(F12/(10*F14),0.25))*(90-F13)/90+F11*F13/90</f>
        <v>4.8454122963585915</v>
      </c>
      <c r="G43" s="18">
        <f>MIN(G11,POWER(G11,0.9)*POWER(G12/(10*G14),0.25))*(90-G13)/90+G11*G13/90</f>
        <v>3.5794434450505146</v>
      </c>
    </row>
    <row r="44" spans="1:7" ht="12.75">
      <c r="A44" s="4" t="s">
        <v>71</v>
      </c>
      <c r="B44" s="5"/>
      <c r="C44" s="5" t="s">
        <v>72</v>
      </c>
      <c r="D44" s="5" t="s">
        <v>73</v>
      </c>
      <c r="E44" s="5"/>
      <c r="F44" s="15">
        <f>F38*F43/1000</f>
        <v>93.7146655782321</v>
      </c>
      <c r="G44" s="22">
        <f>G38*G43/1000</f>
        <v>42.55723295966257</v>
      </c>
    </row>
    <row r="45" spans="1:7" ht="12.75">
      <c r="A45" s="4" t="s">
        <v>74</v>
      </c>
      <c r="B45" s="5"/>
      <c r="C45" s="5" t="s">
        <v>125</v>
      </c>
      <c r="D45" s="5" t="s">
        <v>75</v>
      </c>
      <c r="E45" s="5"/>
      <c r="F45" s="15">
        <f>F44*F16*F34*F41/(F11*1000)</f>
        <v>4.12921831474724</v>
      </c>
      <c r="G45" s="15">
        <f>G44*G16*G34*G41/(G11*1000)</f>
        <v>2.1887761636398335</v>
      </c>
    </row>
    <row r="46" spans="1:7" ht="12.75">
      <c r="A46" s="4" t="s">
        <v>76</v>
      </c>
      <c r="B46" s="5"/>
      <c r="C46" s="5" t="s">
        <v>77</v>
      </c>
      <c r="D46" s="5" t="s">
        <v>75</v>
      </c>
      <c r="E46" s="5"/>
      <c r="F46" s="10">
        <f>F39*F34*F16*F16*F43*0.000001/2</f>
        <v>99.1509586037652</v>
      </c>
      <c r="G46" s="18">
        <f>G39*G34*G16*G16*G43*0.000001/2</f>
        <v>65.08063378221928</v>
      </c>
    </row>
    <row r="47" spans="1:7" ht="12.75">
      <c r="A47" s="4"/>
      <c r="B47" s="5"/>
      <c r="C47" s="5"/>
      <c r="D47" s="5"/>
      <c r="E47" s="5"/>
      <c r="F47" s="10"/>
      <c r="G47" s="18"/>
    </row>
    <row r="48" spans="1:7" ht="12.75">
      <c r="A48" s="4" t="s">
        <v>78</v>
      </c>
      <c r="B48" s="5"/>
      <c r="C48" s="5" t="s">
        <v>116</v>
      </c>
      <c r="D48" s="5" t="s">
        <v>75</v>
      </c>
      <c r="E48" s="5"/>
      <c r="F48" s="15">
        <f>F$22*F45</f>
        <v>8.25843662949448</v>
      </c>
      <c r="G48" s="22">
        <f>F$22*G45</f>
        <v>4.377552327279667</v>
      </c>
    </row>
    <row r="49" spans="1:7" ht="12.75">
      <c r="A49" s="4" t="s">
        <v>79</v>
      </c>
      <c r="B49" s="5"/>
      <c r="C49" s="5" t="s">
        <v>117</v>
      </c>
      <c r="D49" s="5" t="s">
        <v>75</v>
      </c>
      <c r="E49" s="5"/>
      <c r="F49" s="10">
        <f>F$22*F46</f>
        <v>198.3019172075304</v>
      </c>
      <c r="G49" s="18">
        <f>F$22*G46</f>
        <v>130.16126756443856</v>
      </c>
    </row>
    <row r="50" spans="1:7" ht="12.75">
      <c r="A50" s="4" t="s">
        <v>80</v>
      </c>
      <c r="B50" s="5"/>
      <c r="C50" s="5" t="s">
        <v>81</v>
      </c>
      <c r="D50" s="5" t="s">
        <v>82</v>
      </c>
      <c r="E50" s="5"/>
      <c r="F50" s="10">
        <f>F42*F$23*100</f>
        <v>12.269451935069393</v>
      </c>
      <c r="G50" s="18">
        <f>G42*G$23*100</f>
        <v>9.427927446384908</v>
      </c>
    </row>
    <row r="51" spans="1:7" ht="13.5" thickBot="1">
      <c r="A51" s="7" t="s">
        <v>83</v>
      </c>
      <c r="B51" s="8"/>
      <c r="C51" s="8" t="s">
        <v>84</v>
      </c>
      <c r="D51" s="8" t="s">
        <v>26</v>
      </c>
      <c r="E51" s="8"/>
      <c r="F51" s="16">
        <f>knick(F$23,F$24,F49)</f>
        <v>24.80820087641465</v>
      </c>
      <c r="G51" s="23">
        <f>knick(G$23,G$24,G49)</f>
        <v>30.412513379875442</v>
      </c>
    </row>
    <row r="52" spans="1:7" ht="12.75">
      <c r="A52" s="1"/>
      <c r="B52" s="2"/>
      <c r="C52" s="2"/>
      <c r="D52" s="2"/>
      <c r="E52" s="2"/>
      <c r="F52" s="2"/>
      <c r="G52" s="3"/>
    </row>
    <row r="53" spans="1:7" ht="15.75">
      <c r="A53" s="31" t="s">
        <v>85</v>
      </c>
      <c r="B53" s="32"/>
      <c r="C53" s="32"/>
      <c r="D53" s="32"/>
      <c r="E53" s="32"/>
      <c r="F53" s="32"/>
      <c r="G53" s="33"/>
    </row>
    <row r="54" spans="1:7" ht="13.5" thickBot="1">
      <c r="A54" s="4"/>
      <c r="B54" s="5"/>
      <c r="C54" s="5"/>
      <c r="D54" s="5"/>
      <c r="E54" s="5"/>
      <c r="F54" s="5"/>
      <c r="G54" s="6"/>
    </row>
    <row r="55" spans="1:7" ht="12.75">
      <c r="A55" s="1" t="s">
        <v>86</v>
      </c>
      <c r="B55" s="2" t="s">
        <v>87</v>
      </c>
      <c r="C55" s="2"/>
      <c r="D55" s="2" t="s">
        <v>88</v>
      </c>
      <c r="E55" s="2"/>
      <c r="F55" s="24">
        <v>8.5</v>
      </c>
      <c r="G55" s="25">
        <v>8.5</v>
      </c>
    </row>
    <row r="56" spans="1:7" ht="12.75">
      <c r="A56" s="4" t="s">
        <v>89</v>
      </c>
      <c r="B56" s="5" t="s">
        <v>87</v>
      </c>
      <c r="C56" s="5"/>
      <c r="D56" s="5" t="s">
        <v>88</v>
      </c>
      <c r="E56" s="5"/>
      <c r="F56" s="9">
        <v>51</v>
      </c>
      <c r="G56" s="17">
        <v>51</v>
      </c>
    </row>
    <row r="57" spans="1:7" ht="12.75">
      <c r="A57" s="4" t="s">
        <v>90</v>
      </c>
      <c r="B57" s="5" t="s">
        <v>91</v>
      </c>
      <c r="C57" s="5" t="s">
        <v>92</v>
      </c>
      <c r="D57" s="5" t="s">
        <v>54</v>
      </c>
      <c r="E57" s="5"/>
      <c r="F57" s="9">
        <f>MIN(F55*F16*F14,F56*F14*F14)</f>
        <v>20400</v>
      </c>
      <c r="G57" s="17">
        <f>MIN(G55*G16*G14,G56*G14*G14)</f>
        <v>13056</v>
      </c>
    </row>
    <row r="58" spans="1:7" ht="12.75">
      <c r="A58" s="4" t="s">
        <v>93</v>
      </c>
      <c r="B58" s="5" t="s">
        <v>94</v>
      </c>
      <c r="C58" s="5" t="s">
        <v>95</v>
      </c>
      <c r="D58" s="5" t="s">
        <v>54</v>
      </c>
      <c r="E58" s="5"/>
      <c r="F58" s="9">
        <f>F57*F20</f>
        <v>25500</v>
      </c>
      <c r="G58" s="17">
        <f>G57*G20</f>
        <v>16320</v>
      </c>
    </row>
    <row r="59" spans="1:7" ht="12.75">
      <c r="A59" s="4" t="s">
        <v>96</v>
      </c>
      <c r="B59" s="5" t="s">
        <v>97</v>
      </c>
      <c r="C59" s="5"/>
      <c r="D59" s="5" t="s">
        <v>6</v>
      </c>
      <c r="E59" s="5"/>
      <c r="F59" s="9">
        <v>1.4</v>
      </c>
      <c r="G59" s="17">
        <v>1.4</v>
      </c>
    </row>
    <row r="60" spans="1:7" ht="12.75">
      <c r="A60" s="4" t="s">
        <v>64</v>
      </c>
      <c r="B60" s="5" t="s">
        <v>98</v>
      </c>
      <c r="C60" s="5"/>
      <c r="D60" s="5" t="s">
        <v>6</v>
      </c>
      <c r="E60" s="5"/>
      <c r="F60" s="9">
        <f>F59*F20</f>
        <v>1.75</v>
      </c>
      <c r="G60" s="17">
        <f>G59*G20</f>
        <v>1.75</v>
      </c>
    </row>
    <row r="61" spans="1:7" ht="12.75">
      <c r="A61" s="4" t="s">
        <v>99</v>
      </c>
      <c r="B61" s="5" t="s">
        <v>97</v>
      </c>
      <c r="C61" s="5" t="s">
        <v>100</v>
      </c>
      <c r="D61" s="5" t="s">
        <v>63</v>
      </c>
      <c r="E61" s="5"/>
      <c r="F61" s="9">
        <f>0.7*F57</f>
        <v>14280</v>
      </c>
      <c r="G61" s="17">
        <f>0.7*G57</f>
        <v>9139.199999999999</v>
      </c>
    </row>
    <row r="62" spans="1:7" ht="12.75">
      <c r="A62" s="4" t="s">
        <v>101</v>
      </c>
      <c r="B62" s="5"/>
      <c r="C62" s="5" t="s">
        <v>102</v>
      </c>
      <c r="D62" s="5" t="s">
        <v>6</v>
      </c>
      <c r="E62" s="5"/>
      <c r="F62" s="9">
        <f>F56*F14/F55</f>
        <v>120</v>
      </c>
      <c r="G62" s="17">
        <f>G56*G14/G55</f>
        <v>96</v>
      </c>
    </row>
    <row r="63" spans="1:7" ht="12.75">
      <c r="A63" s="4" t="s">
        <v>49</v>
      </c>
      <c r="B63" s="5" t="s">
        <v>50</v>
      </c>
      <c r="C63" s="5"/>
      <c r="D63" s="5" t="s">
        <v>3</v>
      </c>
      <c r="E63" s="5"/>
      <c r="F63" s="13">
        <f>kurz(F$16,F61,F$14,F$19)</f>
        <v>0.33333333348335564</v>
      </c>
      <c r="G63" s="20">
        <f>kurz(G$16,G61,G$14,G$19)</f>
        <v>0.3333339706126602</v>
      </c>
    </row>
    <row r="64" spans="1:7" ht="12.75">
      <c r="A64" s="4" t="s">
        <v>66</v>
      </c>
      <c r="B64" s="5"/>
      <c r="C64" s="5" t="s">
        <v>67</v>
      </c>
      <c r="D64" s="5" t="s">
        <v>3</v>
      </c>
      <c r="E64" s="5"/>
      <c r="F64" s="13">
        <f>2*F60/F16</f>
        <v>0.026923076923076925</v>
      </c>
      <c r="G64" s="20">
        <f>2*G60/G16</f>
        <v>0.026923076923076925</v>
      </c>
    </row>
    <row r="65" spans="1:7" ht="12.75">
      <c r="A65" s="4" t="s">
        <v>103</v>
      </c>
      <c r="B65" s="5"/>
      <c r="C65" s="5"/>
      <c r="D65" s="5" t="s">
        <v>3</v>
      </c>
      <c r="E65" s="5"/>
      <c r="F65" s="10">
        <f>IF(F11&lt;7,F11,(6+2*F11)/3)</f>
        <v>6.666666666666667</v>
      </c>
      <c r="G65" s="18">
        <f>IF(G11&lt;7,G11,(6+2*G11)/3)</f>
        <v>5</v>
      </c>
    </row>
    <row r="66" spans="1:7" ht="12.75">
      <c r="A66" s="4" t="s">
        <v>123</v>
      </c>
      <c r="B66" s="5"/>
      <c r="C66" s="5" t="s">
        <v>124</v>
      </c>
      <c r="D66" s="5" t="s">
        <v>3</v>
      </c>
      <c r="E66" s="5"/>
      <c r="F66" s="10">
        <f>effektiv(F11,F14,F16,F12,F60)</f>
        <v>6.622338793499281</v>
      </c>
      <c r="G66" s="10">
        <f>effektiv(G11,G14,G16,G12,G60)</f>
        <v>4.852996770328922</v>
      </c>
    </row>
    <row r="67" spans="1:7" ht="12.75">
      <c r="A67" s="4" t="s">
        <v>104</v>
      </c>
      <c r="B67" s="5"/>
      <c r="C67" s="5"/>
      <c r="D67" s="5" t="s">
        <v>73</v>
      </c>
      <c r="E67" s="5"/>
      <c r="F67" s="15">
        <f>F57*F65/1000</f>
        <v>136</v>
      </c>
      <c r="G67" s="22">
        <f>G57*G65/1000</f>
        <v>65.28</v>
      </c>
    </row>
    <row r="68" spans="1:7" ht="12.75">
      <c r="A68" s="4" t="s">
        <v>105</v>
      </c>
      <c r="B68" s="5"/>
      <c r="C68" s="5"/>
      <c r="D68" s="5" t="s">
        <v>73</v>
      </c>
      <c r="E68" s="5"/>
      <c r="F68" s="14">
        <f>F67/2</f>
        <v>68</v>
      </c>
      <c r="G68" s="21">
        <f>G67/2</f>
        <v>32.64</v>
      </c>
    </row>
    <row r="69" spans="1:7" ht="12.75">
      <c r="A69" s="4" t="s">
        <v>74</v>
      </c>
      <c r="B69" s="5"/>
      <c r="C69" s="5" t="s">
        <v>126</v>
      </c>
      <c r="D69" s="5" t="s">
        <v>75</v>
      </c>
      <c r="E69" s="5"/>
      <c r="F69" s="10">
        <f>F68*F16*F63*F66/(F11*1000)</f>
        <v>2.7876892838514866</v>
      </c>
      <c r="G69" s="10">
        <f>G68*G16*G63*G66/(G11*1000)</f>
        <v>1.3728183509918912</v>
      </c>
    </row>
    <row r="70" spans="1:7" ht="12.75">
      <c r="A70" s="4" t="s">
        <v>106</v>
      </c>
      <c r="B70" s="5"/>
      <c r="C70" s="5" t="s">
        <v>107</v>
      </c>
      <c r="D70" s="5" t="s">
        <v>75</v>
      </c>
      <c r="E70" s="5"/>
      <c r="F70" s="14">
        <f>F61*F16*F16*F63*F65/4000000</f>
        <v>134.0733333936753</v>
      </c>
      <c r="G70" s="21">
        <f>G61*G16*G16*G63*G65/4000000</f>
        <v>64.3553230367156</v>
      </c>
    </row>
    <row r="71" spans="1:7" ht="12.75">
      <c r="A71" s="4"/>
      <c r="B71" s="5"/>
      <c r="C71" s="5"/>
      <c r="D71" s="5"/>
      <c r="E71" s="5"/>
      <c r="F71" s="14"/>
      <c r="G71" s="21"/>
    </row>
    <row r="72" spans="1:7" ht="12.75">
      <c r="A72" s="4" t="s">
        <v>78</v>
      </c>
      <c r="B72" s="5"/>
      <c r="C72" s="5" t="s">
        <v>116</v>
      </c>
      <c r="D72" s="5" t="s">
        <v>75</v>
      </c>
      <c r="E72" s="5"/>
      <c r="F72" s="10">
        <f>F$22*F69</f>
        <v>5.575378567702973</v>
      </c>
      <c r="G72" s="18">
        <f>G$22*G69</f>
        <v>2.7456367019837824</v>
      </c>
    </row>
    <row r="73" spans="1:7" ht="12.75">
      <c r="A73" s="4" t="s">
        <v>118</v>
      </c>
      <c r="B73" s="5"/>
      <c r="C73" s="5" t="s">
        <v>117</v>
      </c>
      <c r="D73" s="5" t="s">
        <v>75</v>
      </c>
      <c r="E73" s="5"/>
      <c r="F73" s="10">
        <f>F$22*F70</f>
        <v>268.1466667873506</v>
      </c>
      <c r="G73" s="18">
        <f>G$22*G70</f>
        <v>128.7106460734312</v>
      </c>
    </row>
    <row r="74" spans="1:7" ht="12.75">
      <c r="A74" s="4" t="s">
        <v>80</v>
      </c>
      <c r="B74" s="5"/>
      <c r="C74" s="5"/>
      <c r="D74" s="5" t="s">
        <v>82</v>
      </c>
      <c r="E74" s="5"/>
      <c r="F74" s="10">
        <f>F64*F$23*100</f>
        <v>7.269230769230769</v>
      </c>
      <c r="G74" s="18">
        <f>G64*G$23*100</f>
        <v>7.269230769230769</v>
      </c>
    </row>
    <row r="75" spans="1:7" ht="13.5" thickBot="1">
      <c r="A75" s="7" t="s">
        <v>83</v>
      </c>
      <c r="B75" s="8"/>
      <c r="C75" s="8" t="s">
        <v>84</v>
      </c>
      <c r="D75" s="8" t="s">
        <v>26</v>
      </c>
      <c r="E75" s="8"/>
      <c r="F75" s="16">
        <f>knick(F$23,F$24,F73)</f>
        <v>21.482556385549607</v>
      </c>
      <c r="G75" s="23">
        <f>knick(G$23,G$24,G73)</f>
        <v>30.578949040198285</v>
      </c>
    </row>
    <row r="76" spans="1:7" ht="12.75">
      <c r="A76" s="1"/>
      <c r="B76" s="2"/>
      <c r="C76" s="2"/>
      <c r="D76" s="2"/>
      <c r="E76" s="2"/>
      <c r="F76" s="2"/>
      <c r="G76" s="3"/>
    </row>
    <row r="77" spans="1:7" ht="15.75">
      <c r="A77" s="31" t="s">
        <v>108</v>
      </c>
      <c r="B77" s="32"/>
      <c r="C77" s="32"/>
      <c r="D77" s="32"/>
      <c r="E77" s="32"/>
      <c r="F77" s="32"/>
      <c r="G77" s="33"/>
    </row>
    <row r="78" spans="1:7" ht="12.75">
      <c r="A78" s="4"/>
      <c r="B78" s="5"/>
      <c r="C78" s="5"/>
      <c r="D78" s="5"/>
      <c r="E78" s="5"/>
      <c r="F78" s="5"/>
      <c r="G78" s="6"/>
    </row>
    <row r="79" spans="1:7" ht="12.75">
      <c r="A79" s="4" t="s">
        <v>109</v>
      </c>
      <c r="B79" s="5"/>
      <c r="C79" s="5"/>
      <c r="D79" s="5" t="s">
        <v>110</v>
      </c>
      <c r="E79" s="5"/>
      <c r="F79" s="10">
        <v>1.15</v>
      </c>
      <c r="G79" s="18">
        <v>1.15</v>
      </c>
    </row>
    <row r="80" spans="1:7" ht="12.75">
      <c r="A80" s="4" t="s">
        <v>111</v>
      </c>
      <c r="B80" s="5"/>
      <c r="C80" s="5"/>
      <c r="D80" s="5" t="s">
        <v>73</v>
      </c>
      <c r="E80" s="5"/>
      <c r="F80" s="10">
        <f>F58*F79/1000</f>
        <v>29.324999999999996</v>
      </c>
      <c r="G80" s="18">
        <f>G58*G79/1000</f>
        <v>18.768</v>
      </c>
    </row>
    <row r="81" spans="1:7" ht="12.75">
      <c r="A81" s="4" t="s">
        <v>112</v>
      </c>
      <c r="B81" s="5"/>
      <c r="C81" s="5"/>
      <c r="D81" s="5" t="s">
        <v>73</v>
      </c>
      <c r="E81" s="5"/>
      <c r="F81" s="10">
        <f>F80*F11</f>
        <v>205.27499999999998</v>
      </c>
      <c r="G81" s="18">
        <f>G80*G11</f>
        <v>93.84</v>
      </c>
    </row>
    <row r="82" spans="1:7" ht="12.75">
      <c r="A82" s="4" t="s">
        <v>113</v>
      </c>
      <c r="B82" s="5"/>
      <c r="C82" s="5"/>
      <c r="D82" s="5" t="s">
        <v>75</v>
      </c>
      <c r="E82" s="5"/>
      <c r="F82" s="14">
        <f>F16*F81/1000</f>
        <v>26.685749999999995</v>
      </c>
      <c r="G82" s="21">
        <f>G16*G81/1000</f>
        <v>12.199200000000001</v>
      </c>
    </row>
    <row r="83" spans="1:7" ht="13.5" thickBot="1">
      <c r="A83" s="7" t="s">
        <v>114</v>
      </c>
      <c r="B83" s="8"/>
      <c r="C83" s="8"/>
      <c r="D83" s="8" t="s">
        <v>26</v>
      </c>
      <c r="E83" s="8"/>
      <c r="F83" s="16">
        <f>2*F23</f>
        <v>5.4</v>
      </c>
      <c r="G83" s="23">
        <f>2*G23</f>
        <v>5.4</v>
      </c>
    </row>
  </sheetData>
  <sheetProtection sheet="1" objects="1" scenarios="1"/>
  <mergeCells count="8">
    <mergeCell ref="A1:G1"/>
    <mergeCell ref="A3:G3"/>
    <mergeCell ref="A5:G5"/>
    <mergeCell ref="A6:G6"/>
    <mergeCell ref="A9:G9"/>
    <mergeCell ref="A26:G26"/>
    <mergeCell ref="A53:G53"/>
    <mergeCell ref="A77:G7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Ing.-Büro Ebel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Ebel</dc:creator>
  <cp:keywords/>
  <dc:description/>
  <cp:lastModifiedBy>Ebel</cp:lastModifiedBy>
  <dcterms:created xsi:type="dcterms:W3CDTF">2005-12-09T14:34:39Z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